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\SvilPromStat\STATISTICHE\2017\"/>
    </mc:Choice>
  </mc:AlternateContent>
  <bookViews>
    <workbookView xWindow="480" yWindow="675" windowWidth="18675" windowHeight="112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Foglio1!$A$1:$K$60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I26" i="1"/>
  <c r="H26" i="1"/>
  <c r="J60" i="1" l="1"/>
  <c r="J59" i="1"/>
  <c r="J58" i="1"/>
  <c r="I54" i="1" l="1"/>
  <c r="H54" i="1"/>
  <c r="I46" i="1"/>
  <c r="H46" i="1"/>
  <c r="I39" i="1"/>
  <c r="H39" i="1"/>
  <c r="I28" i="1"/>
  <c r="H28" i="1"/>
  <c r="I9" i="1"/>
  <c r="H9" i="1"/>
  <c r="I15" i="1"/>
  <c r="H15" i="1"/>
  <c r="J55" i="1"/>
  <c r="J53" i="1"/>
  <c r="J52" i="1"/>
  <c r="J51" i="1"/>
  <c r="J50" i="1"/>
  <c r="J49" i="1"/>
  <c r="J45" i="1"/>
  <c r="J44" i="1"/>
  <c r="J43" i="1"/>
  <c r="J42" i="1"/>
  <c r="J41" i="1"/>
  <c r="J38" i="1"/>
  <c r="J37" i="1"/>
  <c r="J36" i="1"/>
  <c r="J35" i="1"/>
  <c r="J34" i="1"/>
  <c r="J32" i="1"/>
  <c r="J30" i="1"/>
  <c r="J27" i="1"/>
  <c r="J26" i="1"/>
  <c r="J21" i="1"/>
  <c r="J19" i="1"/>
  <c r="J15" i="1"/>
  <c r="J14" i="1"/>
  <c r="J13" i="1"/>
  <c r="J12" i="1"/>
  <c r="J11" i="1"/>
  <c r="J8" i="1"/>
  <c r="J7" i="1"/>
  <c r="I17" i="1" l="1"/>
  <c r="J28" i="1"/>
  <c r="H16" i="1"/>
  <c r="H17" i="1" s="1"/>
  <c r="H23" i="1" s="1"/>
  <c r="I47" i="1"/>
  <c r="I16" i="1"/>
  <c r="H47" i="1"/>
  <c r="J54" i="1"/>
  <c r="J57" i="1" s="1"/>
  <c r="J46" i="1"/>
  <c r="J39" i="1"/>
  <c r="J9" i="1"/>
  <c r="K56" i="1"/>
  <c r="J47" i="1" l="1"/>
  <c r="J17" i="1"/>
  <c r="J16" i="1"/>
  <c r="I23" i="1"/>
  <c r="J23" i="1" s="1"/>
  <c r="G11" i="1"/>
  <c r="K11" i="1" s="1"/>
  <c r="G60" i="1" l="1"/>
  <c r="K60" i="1" s="1"/>
  <c r="G59" i="1"/>
  <c r="K59" i="1" s="1"/>
  <c r="G58" i="1"/>
  <c r="K58" i="1" s="1"/>
  <c r="G55" i="1"/>
  <c r="K55" i="1" s="1"/>
  <c r="F54" i="1"/>
  <c r="E54" i="1"/>
  <c r="G50" i="1"/>
  <c r="K50" i="1" s="1"/>
  <c r="G51" i="1"/>
  <c r="K51" i="1" s="1"/>
  <c r="G52" i="1"/>
  <c r="G53" i="1"/>
  <c r="K53" i="1" s="1"/>
  <c r="G49" i="1"/>
  <c r="K49" i="1" s="1"/>
  <c r="F45" i="1"/>
  <c r="F46" i="1"/>
  <c r="E46" i="1"/>
  <c r="F39" i="1"/>
  <c r="E39" i="1"/>
  <c r="E47" i="1" s="1"/>
  <c r="G35" i="1"/>
  <c r="K35" i="1" s="1"/>
  <c r="G36" i="1"/>
  <c r="K36" i="1" s="1"/>
  <c r="G37" i="1"/>
  <c r="K37" i="1" s="1"/>
  <c r="G38" i="1"/>
  <c r="K38" i="1" s="1"/>
  <c r="G41" i="1"/>
  <c r="K41" i="1" s="1"/>
  <c r="G42" i="1"/>
  <c r="K42" i="1" s="1"/>
  <c r="G43" i="1"/>
  <c r="K43" i="1" s="1"/>
  <c r="G44" i="1"/>
  <c r="K44" i="1" s="1"/>
  <c r="G45" i="1"/>
  <c r="K45" i="1" s="1"/>
  <c r="G34" i="1"/>
  <c r="K34" i="1" s="1"/>
  <c r="G32" i="1"/>
  <c r="K32" i="1" s="1"/>
  <c r="G30" i="1"/>
  <c r="K30" i="1" s="1"/>
  <c r="F27" i="1"/>
  <c r="E27" i="1"/>
  <c r="F26" i="1"/>
  <c r="E26" i="1"/>
  <c r="F15" i="1"/>
  <c r="F16" i="1" s="1"/>
  <c r="F17" i="1" s="1"/>
  <c r="E15" i="1"/>
  <c r="E16" i="1" s="1"/>
  <c r="G12" i="1"/>
  <c r="K12" i="1" s="1"/>
  <c r="G13" i="1"/>
  <c r="K13" i="1" s="1"/>
  <c r="G14" i="1"/>
  <c r="K14" i="1" s="1"/>
  <c r="G15" i="1"/>
  <c r="K15" i="1" s="1"/>
  <c r="G21" i="1"/>
  <c r="K21" i="1" s="1"/>
  <c r="G19" i="1"/>
  <c r="K19" i="1" s="1"/>
  <c r="E9" i="1"/>
  <c r="F8" i="1"/>
  <c r="F9" i="1" s="1"/>
  <c r="G7" i="1"/>
  <c r="K7" i="1" s="1"/>
  <c r="G26" i="1" l="1"/>
  <c r="K26" i="1" s="1"/>
  <c r="F47" i="1"/>
  <c r="G8" i="1"/>
  <c r="E17" i="1"/>
  <c r="G17" i="1" s="1"/>
  <c r="K17" i="1" s="1"/>
  <c r="G54" i="1"/>
  <c r="G46" i="1"/>
  <c r="K46" i="1" s="1"/>
  <c r="G39" i="1"/>
  <c r="K39" i="1" s="1"/>
  <c r="F23" i="1"/>
  <c r="E28" i="1"/>
  <c r="G16" i="1"/>
  <c r="K16" i="1" s="1"/>
  <c r="F28" i="1"/>
  <c r="G27" i="1"/>
  <c r="K27" i="1" s="1"/>
  <c r="G28" i="1"/>
  <c r="K28" i="1" s="1"/>
  <c r="G57" i="1" l="1"/>
  <c r="K57" i="1" s="1"/>
  <c r="K54" i="1"/>
  <c r="G9" i="1"/>
  <c r="K9" i="1" s="1"/>
  <c r="K8" i="1"/>
  <c r="G47" i="1"/>
  <c r="K47" i="1" s="1"/>
  <c r="E23" i="1"/>
  <c r="G23" i="1" s="1"/>
  <c r="K23" i="1" s="1"/>
  <c r="C27" i="1"/>
  <c r="B27" i="1"/>
  <c r="C26" i="1"/>
  <c r="B26" i="1"/>
  <c r="C15" i="1"/>
  <c r="C16" i="1" s="1"/>
  <c r="B15" i="1"/>
  <c r="B16" i="1" s="1"/>
  <c r="B17" i="1" s="1"/>
  <c r="C17" i="1" l="1"/>
  <c r="D17" i="1" s="1"/>
  <c r="C54" i="1"/>
  <c r="B54" i="1"/>
  <c r="B46" i="1"/>
  <c r="C46" i="1"/>
  <c r="D42" i="1"/>
  <c r="D45" i="1"/>
  <c r="C39" i="1"/>
  <c r="B39" i="1"/>
  <c r="B28" i="1"/>
  <c r="C9" i="1"/>
  <c r="B9" i="1"/>
  <c r="D13" i="1"/>
  <c r="D60" i="1"/>
  <c r="D59" i="1"/>
  <c r="D58" i="1"/>
  <c r="D55" i="1"/>
  <c r="D53" i="1"/>
  <c r="D52" i="1"/>
  <c r="D51" i="1"/>
  <c r="D50" i="1"/>
  <c r="D49" i="1"/>
  <c r="D44" i="1"/>
  <c r="D43" i="1"/>
  <c r="D41" i="1"/>
  <c r="D38" i="1"/>
  <c r="D37" i="1"/>
  <c r="D36" i="1"/>
  <c r="D35" i="1"/>
  <c r="D34" i="1"/>
  <c r="D32" i="1"/>
  <c r="D30" i="1"/>
  <c r="D21" i="1"/>
  <c r="D19" i="1"/>
  <c r="D14" i="1"/>
  <c r="D12" i="1"/>
  <c r="D11" i="1"/>
  <c r="D8" i="1"/>
  <c r="D7" i="1"/>
  <c r="D54" i="1" l="1"/>
  <c r="D46" i="1"/>
  <c r="D27" i="1"/>
  <c r="D15" i="1"/>
  <c r="C28" i="1"/>
  <c r="D28" i="1" s="1"/>
  <c r="D26" i="1"/>
  <c r="D39" i="1"/>
  <c r="D16" i="1"/>
  <c r="B23" i="1"/>
  <c r="B47" i="1"/>
  <c r="C47" i="1"/>
  <c r="D9" i="1"/>
  <c r="D57" i="1" l="1"/>
  <c r="D47" i="1"/>
  <c r="C23" i="1"/>
  <c r="D23" i="1" s="1"/>
</calcChain>
</file>

<file path=xl/comments1.xml><?xml version="1.0" encoding="utf-8"?>
<comments xmlns="http://schemas.openxmlformats.org/spreadsheetml/2006/main">
  <authors>
    <author>cellerino</author>
  </authors>
  <commentList>
    <comment ref="A16" authorId="0" shapeId="0">
      <text>
        <r>
          <rPr>
            <sz val="8"/>
            <color indexed="81"/>
            <rFont val="Tahoma"/>
            <family val="2"/>
          </rPr>
          <t>contiene: "concimi";</t>
        </r>
        <r>
          <rPr>
            <sz val="8"/>
            <color indexed="81"/>
            <rFont val="Tahoma"/>
            <family val="2"/>
          </rPr>
          <t xml:space="preserve">
"materiale da trasporto"; "vetro..";"cuoio.."
</t>
        </r>
      </text>
    </comment>
  </commentList>
</comments>
</file>

<file path=xl/sharedStrings.xml><?xml version="1.0" encoding="utf-8"?>
<sst xmlns="http://schemas.openxmlformats.org/spreadsheetml/2006/main" count="58" uniqueCount="54">
  <si>
    <t>Imbarchi</t>
  </si>
  <si>
    <t>Sbarchi</t>
  </si>
  <si>
    <t>%</t>
  </si>
  <si>
    <t xml:space="preserve"> Merci ( in tn )</t>
  </si>
  <si>
    <t>LIQUIDE</t>
  </si>
  <si>
    <t>Petrolio greggio</t>
  </si>
  <si>
    <t>Derivati del petrolio</t>
  </si>
  <si>
    <t>TOTALE MERCI LIQUIDE (petrolio e derivati)</t>
  </si>
  <si>
    <t>SOLIDE</t>
  </si>
  <si>
    <t>Carbone</t>
  </si>
  <si>
    <t>Cereali</t>
  </si>
  <si>
    <t>Derrate alimentari</t>
  </si>
  <si>
    <t>Minerali grezzi e manufatti (inerti)</t>
  </si>
  <si>
    <t>Prodotti metallurgici, minerali di ferro, minerali e metalli non ferrosi</t>
  </si>
  <si>
    <t>Articoli diversi</t>
  </si>
  <si>
    <t>TOTALE MERCI SOLIDE</t>
  </si>
  <si>
    <t>MERCI  NEI TIR E TRAILER</t>
  </si>
  <si>
    <t>MERCI NEI CONTENITORI</t>
  </si>
  <si>
    <t>TOTALE MERCI</t>
  </si>
  <si>
    <t>NUMERO CONTENITORI</t>
  </si>
  <si>
    <t>Vuoti</t>
  </si>
  <si>
    <t>Pieni</t>
  </si>
  <si>
    <t>TOT. CONTENITORI NUMERO</t>
  </si>
  <si>
    <t>CONTENITORI: TEU</t>
  </si>
  <si>
    <t>VEICOLI (AUTO)</t>
  </si>
  <si>
    <t>TIR GRECIA</t>
  </si>
  <si>
    <t>TIR CROAZIA</t>
  </si>
  <si>
    <t>TIR ALBANIA</t>
  </si>
  <si>
    <t>TIR ITALIA</t>
  </si>
  <si>
    <t>TOTALE TIR</t>
  </si>
  <si>
    <t>TRAILER GRECIA</t>
  </si>
  <si>
    <t>TRAILER ALBANIA</t>
  </si>
  <si>
    <t>TRAILER ITALIA</t>
  </si>
  <si>
    <t>TOTALE TRAILER</t>
  </si>
  <si>
    <t>TOTALE TIR + TRAILER</t>
  </si>
  <si>
    <t>Passeggeri GRECIA</t>
  </si>
  <si>
    <t>Passeggeri CROAZIA</t>
  </si>
  <si>
    <t>Passeggeri ALBANIA</t>
  </si>
  <si>
    <t>Passeggeri ITALIA</t>
  </si>
  <si>
    <t>TOT PASSEGGERI</t>
  </si>
  <si>
    <t>CROCIERISTI</t>
  </si>
  <si>
    <r>
      <t xml:space="preserve">CROCIERISTI </t>
    </r>
    <r>
      <rPr>
        <b/>
        <i/>
        <sz val="10"/>
        <rFont val="Verdana"/>
        <family val="2"/>
      </rPr>
      <t>(transito)</t>
    </r>
  </si>
  <si>
    <t>TOTALE PASSEGGERI</t>
  </si>
  <si>
    <t>N° NAVI</t>
  </si>
  <si>
    <t>TSN</t>
  </si>
  <si>
    <t>TSL</t>
  </si>
  <si>
    <t>TIR TURCHIA</t>
  </si>
  <si>
    <t>Passeggeri TURCHIA</t>
  </si>
  <si>
    <t>TOT 2015</t>
  </si>
  <si>
    <t>TRAILER CROAZIA</t>
  </si>
  <si>
    <t>TOT 2016</t>
  </si>
  <si>
    <t>TRAILER Altri Paesi</t>
  </si>
  <si>
    <t xml:space="preserve">     PORTO DI ANCONA:   CONFRONTO IMBARCHI E SBARCHI 2015 - 2016 - 2017</t>
  </si>
  <si>
    <t>TOT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</si>
</sst>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Verdana"/>
      <family val="2"/>
    </font>
    <font>
      <b/>
      <sz val="8"/>
      <color indexed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39"/>
      <name val="Verdana"/>
      <family val="2"/>
    </font>
    <font>
      <b/>
      <sz val="10"/>
      <color indexed="12"/>
      <name val="Verdana"/>
      <family val="2"/>
    </font>
    <font>
      <b/>
      <i/>
      <sz val="10"/>
      <name val="Verdan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lightGray">
        <fgColor indexed="4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5" fillId="2" borderId="1" xfId="0" applyFont="1" applyFill="1" applyBorder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5" xfId="0" applyFont="1" applyFill="1" applyBorder="1"/>
    <xf numFmtId="0" fontId="7" fillId="2" borderId="3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64" fontId="7" fillId="0" borderId="5" xfId="0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164" fontId="7" fillId="2" borderId="14" xfId="0" applyNumberFormat="1" applyFont="1" applyFill="1" applyBorder="1"/>
    <xf numFmtId="3" fontId="7" fillId="2" borderId="14" xfId="0" applyNumberFormat="1" applyFont="1" applyFill="1" applyBorder="1" applyAlignment="1">
      <alignment horizontal="left"/>
    </xf>
    <xf numFmtId="3" fontId="7" fillId="0" borderId="17" xfId="0" applyNumberFormat="1" applyFont="1" applyFill="1" applyBorder="1"/>
    <xf numFmtId="3" fontId="7" fillId="0" borderId="16" xfId="0" applyNumberFormat="1" applyFont="1" applyFill="1" applyBorder="1"/>
    <xf numFmtId="3" fontId="7" fillId="0" borderId="18" xfId="0" applyNumberFormat="1" applyFont="1" applyFill="1" applyBorder="1"/>
    <xf numFmtId="3" fontId="7" fillId="0" borderId="15" xfId="0" applyNumberFormat="1" applyFont="1" applyFill="1" applyBorder="1"/>
    <xf numFmtId="3" fontId="8" fillId="3" borderId="14" xfId="0" applyNumberFormat="1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left"/>
    </xf>
    <xf numFmtId="3" fontId="8" fillId="3" borderId="15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left"/>
    </xf>
    <xf numFmtId="3" fontId="7" fillId="2" borderId="16" xfId="0" applyNumberFormat="1" applyFont="1" applyFill="1" applyBorder="1"/>
    <xf numFmtId="3" fontId="7" fillId="2" borderId="18" xfId="0" applyNumberFormat="1" applyFont="1" applyFill="1" applyBorder="1"/>
    <xf numFmtId="3" fontId="7" fillId="2" borderId="15" xfId="0" applyNumberFormat="1" applyFont="1" applyFill="1" applyBorder="1"/>
    <xf numFmtId="0" fontId="7" fillId="0" borderId="14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2" borderId="23" xfId="0" applyFont="1" applyFill="1" applyBorder="1"/>
    <xf numFmtId="0" fontId="7" fillId="2" borderId="24" xfId="0" applyFont="1" applyFill="1" applyBorder="1"/>
    <xf numFmtId="0" fontId="7" fillId="2" borderId="0" xfId="0" applyFont="1" applyFill="1" applyBorder="1"/>
    <xf numFmtId="3" fontId="7" fillId="2" borderId="25" xfId="0" applyNumberFormat="1" applyFont="1" applyFill="1" applyBorder="1" applyAlignment="1">
      <alignment horizontal="center"/>
    </xf>
    <xf numFmtId="3" fontId="7" fillId="2" borderId="12" xfId="0" applyNumberFormat="1" applyFont="1" applyFill="1" applyBorder="1"/>
    <xf numFmtId="3" fontId="7" fillId="2" borderId="13" xfId="0" applyNumberFormat="1" applyFont="1" applyFill="1" applyBorder="1"/>
    <xf numFmtId="3" fontId="7" fillId="2" borderId="11" xfId="0" applyNumberFormat="1" applyFont="1" applyFill="1" applyBorder="1"/>
    <xf numFmtId="3" fontId="8" fillId="0" borderId="14" xfId="0" applyNumberFormat="1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left" vertical="center"/>
    </xf>
    <xf numFmtId="3" fontId="6" fillId="4" borderId="18" xfId="0" applyNumberFormat="1" applyFont="1" applyFill="1" applyBorder="1"/>
    <xf numFmtId="3" fontId="10" fillId="2" borderId="27" xfId="0" applyNumberFormat="1" applyFont="1" applyFill="1" applyBorder="1" applyAlignment="1">
      <alignment horizontal="left"/>
    </xf>
    <xf numFmtId="3" fontId="11" fillId="0" borderId="13" xfId="0" applyNumberFormat="1" applyFont="1" applyBorder="1"/>
    <xf numFmtId="3" fontId="11" fillId="0" borderId="11" xfId="0" applyNumberFormat="1" applyFont="1" applyBorder="1"/>
    <xf numFmtId="3" fontId="11" fillId="0" borderId="12" xfId="0" applyNumberFormat="1" applyFont="1" applyBorder="1"/>
    <xf numFmtId="0" fontId="7" fillId="0" borderId="14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left" vertical="center"/>
    </xf>
    <xf numFmtId="3" fontId="8" fillId="0" borderId="18" xfId="0" applyNumberFormat="1" applyFont="1" applyFill="1" applyBorder="1"/>
    <xf numFmtId="0" fontId="7" fillId="0" borderId="27" xfId="0" applyFont="1" applyFill="1" applyBorder="1"/>
    <xf numFmtId="3" fontId="7" fillId="0" borderId="12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horizontal="left"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horizontal="left" vertical="center"/>
    </xf>
    <xf numFmtId="3" fontId="7" fillId="0" borderId="8" xfId="0" applyNumberFormat="1" applyFont="1" applyFill="1" applyBorder="1" applyAlignment="1">
      <alignment vertical="center"/>
    </xf>
    <xf numFmtId="3" fontId="6" fillId="5" borderId="27" xfId="0" applyNumberFormat="1" applyFont="1" applyFill="1" applyBorder="1" applyAlignment="1">
      <alignment horizontal="left"/>
    </xf>
    <xf numFmtId="3" fontId="5" fillId="5" borderId="29" xfId="0" applyNumberFormat="1" applyFont="1" applyFill="1" applyBorder="1"/>
    <xf numFmtId="3" fontId="5" fillId="5" borderId="30" xfId="0" applyNumberFormat="1" applyFont="1" applyFill="1" applyBorder="1"/>
    <xf numFmtId="3" fontId="6" fillId="5" borderId="31" xfId="0" applyNumberFormat="1" applyFont="1" applyFill="1" applyBorder="1"/>
    <xf numFmtId="3" fontId="6" fillId="0" borderId="1" xfId="0" applyNumberFormat="1" applyFont="1" applyFill="1" applyBorder="1" applyAlignment="1">
      <alignment horizontal="left"/>
    </xf>
    <xf numFmtId="3" fontId="6" fillId="0" borderId="24" xfId="0" applyNumberFormat="1" applyFont="1" applyFill="1" applyBorder="1"/>
    <xf numFmtId="3" fontId="6" fillId="0" borderId="0" xfId="0" applyNumberFormat="1" applyFont="1" applyFill="1" applyBorder="1"/>
    <xf numFmtId="3" fontId="6" fillId="0" borderId="23" xfId="0" applyNumberFormat="1" applyFont="1" applyFill="1" applyBorder="1"/>
    <xf numFmtId="0" fontId="7" fillId="2" borderId="14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 vertical="center"/>
    </xf>
    <xf numFmtId="3" fontId="7" fillId="6" borderId="16" xfId="0" applyNumberFormat="1" applyFont="1" applyFill="1" applyBorder="1" applyAlignment="1">
      <alignment vertical="center"/>
    </xf>
    <xf numFmtId="3" fontId="7" fillId="6" borderId="34" xfId="0" applyNumberFormat="1" applyFont="1" applyFill="1" applyBorder="1" applyAlignment="1">
      <alignment vertical="center"/>
    </xf>
    <xf numFmtId="3" fontId="8" fillId="6" borderId="33" xfId="0" applyNumberFormat="1" applyFont="1" applyFill="1" applyBorder="1" applyAlignment="1">
      <alignment vertical="center"/>
    </xf>
    <xf numFmtId="0" fontId="8" fillId="6" borderId="28" xfId="0" applyFont="1" applyFill="1" applyBorder="1" applyAlignment="1">
      <alignment horizontal="left" vertical="center"/>
    </xf>
    <xf numFmtId="3" fontId="7" fillId="6" borderId="35" xfId="0" applyNumberFormat="1" applyFont="1" applyFill="1" applyBorder="1" applyAlignment="1">
      <alignment vertical="center"/>
    </xf>
    <xf numFmtId="3" fontId="8" fillId="6" borderId="36" xfId="0" applyNumberFormat="1" applyFont="1" applyFill="1" applyBorder="1" applyAlignment="1">
      <alignment vertical="center"/>
    </xf>
    <xf numFmtId="3" fontId="8" fillId="6" borderId="34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horizontal="left" vertical="center"/>
    </xf>
    <xf numFmtId="3" fontId="6" fillId="4" borderId="31" xfId="0" applyNumberFormat="1" applyFont="1" applyFill="1" applyBorder="1" applyAlignment="1">
      <alignment vertical="center"/>
    </xf>
    <xf numFmtId="3" fontId="6" fillId="4" borderId="30" xfId="0" applyNumberFormat="1" applyFont="1" applyFill="1" applyBorder="1" applyAlignment="1">
      <alignment vertical="center"/>
    </xf>
    <xf numFmtId="3" fontId="7" fillId="0" borderId="26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20" xfId="0" applyNumberFormat="1" applyFont="1" applyFill="1" applyBorder="1"/>
    <xf numFmtId="3" fontId="7" fillId="0" borderId="8" xfId="0" applyNumberFormat="1" applyFont="1" applyFill="1" applyBorder="1"/>
    <xf numFmtId="3" fontId="7" fillId="0" borderId="21" xfId="0" applyNumberFormat="1" applyFont="1" applyFill="1" applyBorder="1"/>
    <xf numFmtId="164" fontId="0" fillId="0" borderId="0" xfId="0" applyNumberFormat="1"/>
    <xf numFmtId="0" fontId="7" fillId="0" borderId="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3" fontId="8" fillId="0" borderId="15" xfId="0" applyNumberFormat="1" applyFont="1" applyFill="1" applyBorder="1"/>
    <xf numFmtId="3" fontId="8" fillId="6" borderId="35" xfId="0" applyNumberFormat="1" applyFont="1" applyFill="1" applyBorder="1" applyAlignment="1">
      <alignment vertical="center"/>
    </xf>
    <xf numFmtId="3" fontId="6" fillId="4" borderId="29" xfId="0" applyNumberFormat="1" applyFont="1" applyFill="1" applyBorder="1" applyAlignment="1">
      <alignment vertical="center"/>
    </xf>
    <xf numFmtId="3" fontId="5" fillId="4" borderId="16" xfId="0" applyNumberFormat="1" applyFont="1" applyFill="1" applyBorder="1"/>
    <xf numFmtId="3" fontId="0" fillId="0" borderId="0" xfId="0" applyNumberFormat="1"/>
    <xf numFmtId="0" fontId="7" fillId="2" borderId="26" xfId="0" applyFont="1" applyFill="1" applyBorder="1"/>
    <xf numFmtId="3" fontId="7" fillId="2" borderId="17" xfId="0" applyNumberFormat="1" applyFont="1" applyFill="1" applyBorder="1"/>
    <xf numFmtId="0" fontId="7" fillId="2" borderId="22" xfId="0" applyFont="1" applyFill="1" applyBorder="1"/>
    <xf numFmtId="3" fontId="7" fillId="2" borderId="26" xfId="0" applyNumberFormat="1" applyFont="1" applyFill="1" applyBorder="1"/>
    <xf numFmtId="3" fontId="5" fillId="4" borderId="17" xfId="0" applyNumberFormat="1" applyFont="1" applyFill="1" applyBorder="1"/>
    <xf numFmtId="3" fontId="11" fillId="0" borderId="26" xfId="0" applyNumberFormat="1" applyFont="1" applyBorder="1"/>
    <xf numFmtId="3" fontId="8" fillId="0" borderId="26" xfId="0" applyNumberFormat="1" applyFont="1" applyFill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3" fontId="6" fillId="0" borderId="22" xfId="0" applyNumberFormat="1" applyFont="1" applyFill="1" applyBorder="1"/>
    <xf numFmtId="9" fontId="7" fillId="0" borderId="14" xfId="1" applyFont="1" applyBorder="1"/>
    <xf numFmtId="9" fontId="8" fillId="3" borderId="14" xfId="1" applyFont="1" applyFill="1" applyBorder="1" applyAlignment="1">
      <alignment vertical="center"/>
    </xf>
    <xf numFmtId="9" fontId="7" fillId="0" borderId="10" xfId="1" applyFont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/>
    </xf>
    <xf numFmtId="9" fontId="6" fillId="5" borderId="32" xfId="1" applyFont="1" applyFill="1" applyBorder="1"/>
    <xf numFmtId="3" fontId="7" fillId="0" borderId="40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9" fontId="7" fillId="7" borderId="1" xfId="1" applyFont="1" applyFill="1" applyBorder="1"/>
    <xf numFmtId="9" fontId="7" fillId="7" borderId="25" xfId="1" applyFont="1" applyFill="1" applyBorder="1"/>
    <xf numFmtId="0" fontId="8" fillId="0" borderId="37" xfId="0" applyFont="1" applyBorder="1" applyAlignment="1">
      <alignment horizontal="center"/>
    </xf>
    <xf numFmtId="3" fontId="6" fillId="4" borderId="41" xfId="0" applyNumberFormat="1" applyFont="1" applyFill="1" applyBorder="1" applyAlignment="1">
      <alignment vertical="center"/>
    </xf>
    <xf numFmtId="3" fontId="11" fillId="0" borderId="23" xfId="0" applyNumberFormat="1" applyFont="1" applyFill="1" applyBorder="1" applyAlignment="1">
      <alignment horizontal="right"/>
    </xf>
    <xf numFmtId="9" fontId="7" fillId="0" borderId="25" xfId="1" applyFont="1" applyBorder="1"/>
    <xf numFmtId="3" fontId="6" fillId="4" borderId="26" xfId="0" applyNumberFormat="1" applyFont="1" applyFill="1" applyBorder="1"/>
    <xf numFmtId="3" fontId="6" fillId="4" borderId="12" xfId="0" applyNumberFormat="1" applyFont="1" applyFill="1" applyBorder="1"/>
    <xf numFmtId="3" fontId="6" fillId="4" borderId="11" xfId="0" applyNumberFormat="1" applyFont="1" applyFill="1" applyBorder="1"/>
    <xf numFmtId="9" fontId="6" fillId="5" borderId="25" xfId="1" applyFont="1" applyFill="1" applyBorder="1"/>
    <xf numFmtId="3" fontId="11" fillId="0" borderId="22" xfId="0" applyNumberFormat="1" applyFont="1" applyFill="1" applyBorder="1" applyAlignment="1">
      <alignment horizontal="right"/>
    </xf>
    <xf numFmtId="3" fontId="11" fillId="0" borderId="24" xfId="0" applyNumberFormat="1" applyFont="1" applyFill="1" applyBorder="1" applyAlignment="1">
      <alignment horizontal="right"/>
    </xf>
    <xf numFmtId="9" fontId="7" fillId="0" borderId="27" xfId="1" applyFont="1" applyBorder="1"/>
    <xf numFmtId="3" fontId="11" fillId="2" borderId="25" xfId="0" applyNumberFormat="1" applyFont="1" applyFill="1" applyBorder="1" applyAlignment="1">
      <alignment horizontal="left"/>
    </xf>
    <xf numFmtId="3" fontId="8" fillId="3" borderId="32" xfId="0" applyNumberFormat="1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vertical="center"/>
    </xf>
    <xf numFmtId="3" fontId="7" fillId="3" borderId="30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30" xfId="0" applyNumberFormat="1" applyFont="1" applyFill="1" applyBorder="1" applyAlignment="1">
      <alignment vertical="center"/>
    </xf>
    <xf numFmtId="9" fontId="8" fillId="3" borderId="32" xfId="1" applyFont="1" applyFill="1" applyBorder="1" applyAlignment="1">
      <alignment vertical="center"/>
    </xf>
    <xf numFmtId="3" fontId="8" fillId="2" borderId="28" xfId="0" applyNumberFormat="1" applyFont="1" applyFill="1" applyBorder="1" applyAlignment="1">
      <alignment horizontal="left"/>
    </xf>
    <xf numFmtId="3" fontId="8" fillId="2" borderId="36" xfId="0" applyNumberFormat="1" applyFont="1" applyFill="1" applyBorder="1"/>
    <xf numFmtId="3" fontId="8" fillId="2" borderId="35" xfId="0" applyNumberFormat="1" applyFont="1" applyFill="1" applyBorder="1"/>
    <xf numFmtId="3" fontId="8" fillId="2" borderId="34" xfId="0" applyNumberFormat="1" applyFont="1" applyFill="1" applyBorder="1"/>
    <xf numFmtId="3" fontId="8" fillId="2" borderId="33" xfId="0" applyNumberFormat="1" applyFont="1" applyFill="1" applyBorder="1"/>
    <xf numFmtId="9" fontId="7" fillId="0" borderId="28" xfId="1" applyFont="1" applyBorder="1"/>
    <xf numFmtId="3" fontId="5" fillId="4" borderId="29" xfId="0" applyNumberFormat="1" applyFont="1" applyFill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3" fontId="6" fillId="4" borderId="41" xfId="0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6" fillId="4" borderId="13" xfId="0" applyNumberFormat="1" applyFont="1" applyFill="1" applyBorder="1"/>
    <xf numFmtId="3" fontId="8" fillId="3" borderId="29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3" fontId="7" fillId="0" borderId="35" xfId="0" applyNumberFormat="1" applyFont="1" applyFill="1" applyBorder="1" applyAlignment="1">
      <alignment vertical="center"/>
    </xf>
    <xf numFmtId="3" fontId="6" fillId="4" borderId="30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vertical="center"/>
    </xf>
    <xf numFmtId="3" fontId="7" fillId="6" borderId="33" xfId="0" applyNumberFormat="1" applyFont="1" applyFill="1" applyBorder="1" applyAlignment="1">
      <alignment vertical="center"/>
    </xf>
    <xf numFmtId="9" fontId="6" fillId="5" borderId="32" xfId="1" applyNumberFormat="1" applyFont="1" applyFill="1" applyBorder="1"/>
    <xf numFmtId="3" fontId="7" fillId="0" borderId="2" xfId="0" applyNumberFormat="1" applyFont="1" applyFill="1" applyBorder="1"/>
    <xf numFmtId="3" fontId="7" fillId="0" borderId="3" xfId="0" applyNumberFormat="1" applyFont="1" applyFill="1" applyBorder="1"/>
    <xf numFmtId="3" fontId="7" fillId="0" borderId="42" xfId="0" applyNumberFormat="1" applyFont="1" applyFill="1" applyBorder="1"/>
    <xf numFmtId="3" fontId="7" fillId="0" borderId="43" xfId="0" applyNumberFormat="1" applyFont="1" applyFill="1" applyBorder="1"/>
    <xf numFmtId="3" fontId="7" fillId="0" borderId="44" xfId="0" applyNumberFormat="1" applyFont="1" applyFill="1" applyBorder="1"/>
    <xf numFmtId="3" fontId="7" fillId="0" borderId="45" xfId="0" applyNumberFormat="1" applyFont="1" applyFill="1" applyBorder="1"/>
    <xf numFmtId="3" fontId="5" fillId="5" borderId="41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tabSelected="1" topLeftCell="A7" zoomScale="80" zoomScaleNormal="80" workbookViewId="0">
      <selection activeCell="I61" sqref="I61"/>
    </sheetView>
  </sheetViews>
  <sheetFormatPr defaultRowHeight="15" x14ac:dyDescent="0.25"/>
  <cols>
    <col min="1" max="1" width="70.85546875" customWidth="1"/>
    <col min="2" max="4" width="14.85546875" customWidth="1"/>
    <col min="5" max="6" width="13" bestFit="1" customWidth="1"/>
    <col min="7" max="7" width="14.85546875" bestFit="1" customWidth="1"/>
    <col min="8" max="10" width="14.85546875" customWidth="1"/>
    <col min="11" max="11" width="13.140625" bestFit="1" customWidth="1"/>
  </cols>
  <sheetData>
    <row r="1" spans="1:13" ht="18" x14ac:dyDescent="0.25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3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3" ht="16.5" thickBot="1" x14ac:dyDescent="0.3">
      <c r="A3" s="6"/>
      <c r="B3" s="170">
        <v>2015</v>
      </c>
      <c r="C3" s="171"/>
      <c r="D3" s="172"/>
      <c r="E3" s="170">
        <v>2016</v>
      </c>
      <c r="F3" s="171"/>
      <c r="G3" s="172"/>
      <c r="H3" s="173">
        <v>2017</v>
      </c>
      <c r="I3" s="171"/>
      <c r="J3" s="174"/>
      <c r="K3" s="114"/>
    </row>
    <row r="4" spans="1:13" ht="15.75" thickBot="1" x14ac:dyDescent="0.3">
      <c r="A4" s="7"/>
      <c r="B4" s="8" t="s">
        <v>0</v>
      </c>
      <c r="C4" s="9" t="s">
        <v>1</v>
      </c>
      <c r="D4" s="10" t="s">
        <v>48</v>
      </c>
      <c r="E4" s="153" t="s">
        <v>0</v>
      </c>
      <c r="F4" s="9" t="s">
        <v>1</v>
      </c>
      <c r="G4" s="154" t="s">
        <v>50</v>
      </c>
      <c r="H4" s="124" t="s">
        <v>0</v>
      </c>
      <c r="I4" s="9" t="s">
        <v>1</v>
      </c>
      <c r="J4" s="124" t="s">
        <v>53</v>
      </c>
      <c r="K4" s="115" t="s">
        <v>2</v>
      </c>
    </row>
    <row r="5" spans="1:13" x14ac:dyDescent="0.25">
      <c r="A5" s="11" t="s">
        <v>3</v>
      </c>
      <c r="B5" s="102"/>
      <c r="C5" s="14"/>
      <c r="D5" s="15"/>
      <c r="E5" s="102"/>
      <c r="F5" s="14"/>
      <c r="G5" s="15"/>
      <c r="H5" s="13"/>
      <c r="I5" s="12"/>
      <c r="J5" s="13"/>
      <c r="K5" s="16"/>
    </row>
    <row r="6" spans="1:13" x14ac:dyDescent="0.25">
      <c r="A6" s="17" t="s">
        <v>4</v>
      </c>
      <c r="B6" s="20"/>
      <c r="C6" s="19"/>
      <c r="D6" s="21"/>
      <c r="E6" s="20"/>
      <c r="F6" s="19"/>
      <c r="G6" s="21"/>
      <c r="H6" s="18"/>
      <c r="I6" s="19"/>
      <c r="J6" s="18"/>
      <c r="K6" s="22"/>
    </row>
    <row r="7" spans="1:13" x14ac:dyDescent="0.25">
      <c r="A7" s="23" t="s">
        <v>5</v>
      </c>
      <c r="B7" s="24">
        <v>19609</v>
      </c>
      <c r="C7" s="25">
        <v>2961974</v>
      </c>
      <c r="D7" s="26">
        <f>+C7+B7</f>
        <v>2981583</v>
      </c>
      <c r="E7" s="24">
        <v>0</v>
      </c>
      <c r="F7" s="25">
        <v>3314273</v>
      </c>
      <c r="G7" s="26">
        <f>+F7+E7</f>
        <v>3314273</v>
      </c>
      <c r="H7" s="27">
        <v>0</v>
      </c>
      <c r="I7" s="25">
        <v>2948008</v>
      </c>
      <c r="J7" s="27">
        <f>+I7+H7</f>
        <v>2948008</v>
      </c>
      <c r="K7" s="111">
        <f>+(J7-G7)/G7</f>
        <v>-0.11051141532396395</v>
      </c>
    </row>
    <row r="8" spans="1:13" x14ac:dyDescent="0.25">
      <c r="A8" s="23" t="s">
        <v>6</v>
      </c>
      <c r="B8" s="24">
        <v>1236735</v>
      </c>
      <c r="C8" s="25">
        <v>505877</v>
      </c>
      <c r="D8" s="26">
        <f>+C8+B8</f>
        <v>1742612</v>
      </c>
      <c r="E8" s="24">
        <v>1417550</v>
      </c>
      <c r="F8" s="25">
        <f>288221+5197</f>
        <v>293418</v>
      </c>
      <c r="G8" s="26">
        <f>+F8+E8</f>
        <v>1710968</v>
      </c>
      <c r="H8" s="27">
        <v>1351173</v>
      </c>
      <c r="I8" s="25">
        <v>344132</v>
      </c>
      <c r="J8" s="27">
        <f>+I8+H8</f>
        <v>1695305</v>
      </c>
      <c r="K8" s="111">
        <f t="shared" ref="K8:K57" si="0">+(J8-G8)/G8</f>
        <v>-9.15446694502761E-3</v>
      </c>
    </row>
    <row r="9" spans="1:13" x14ac:dyDescent="0.25">
      <c r="A9" s="28" t="s">
        <v>7</v>
      </c>
      <c r="B9" s="29">
        <f>+B8+B7</f>
        <v>1256344</v>
      </c>
      <c r="C9" s="30">
        <f>+C8+C7</f>
        <v>3467851</v>
      </c>
      <c r="D9" s="31">
        <f>+C9+B9</f>
        <v>4724195</v>
      </c>
      <c r="E9" s="29">
        <f t="shared" ref="E9:J9" si="1">+E8+E7</f>
        <v>1417550</v>
      </c>
      <c r="F9" s="30">
        <f t="shared" si="1"/>
        <v>3607691</v>
      </c>
      <c r="G9" s="31">
        <f t="shared" si="1"/>
        <v>5025241</v>
      </c>
      <c r="H9" s="160">
        <f t="shared" si="1"/>
        <v>1351173</v>
      </c>
      <c r="I9" s="30">
        <f t="shared" si="1"/>
        <v>3292140</v>
      </c>
      <c r="J9" s="34">
        <f t="shared" si="1"/>
        <v>4643313</v>
      </c>
      <c r="K9" s="112">
        <f t="shared" si="0"/>
        <v>-7.6001927071756362E-2</v>
      </c>
    </row>
    <row r="10" spans="1:13" x14ac:dyDescent="0.25">
      <c r="A10" s="32" t="s">
        <v>8</v>
      </c>
      <c r="B10" s="20"/>
      <c r="C10" s="19"/>
      <c r="D10" s="21"/>
      <c r="E10" s="20"/>
      <c r="F10" s="19"/>
      <c r="G10" s="21"/>
      <c r="H10" s="18"/>
      <c r="I10" s="19"/>
      <c r="J10" s="18"/>
      <c r="K10" s="111"/>
    </row>
    <row r="11" spans="1:13" x14ac:dyDescent="0.25">
      <c r="A11" s="23" t="s">
        <v>9</v>
      </c>
      <c r="B11" s="24">
        <v>0</v>
      </c>
      <c r="C11" s="25">
        <v>79378</v>
      </c>
      <c r="D11" s="26">
        <f>+C11+B11</f>
        <v>79378</v>
      </c>
      <c r="E11" s="24">
        <v>0</v>
      </c>
      <c r="F11" s="25">
        <v>41866</v>
      </c>
      <c r="G11" s="26">
        <f>+F11+E11</f>
        <v>41866</v>
      </c>
      <c r="H11" s="27">
        <v>0</v>
      </c>
      <c r="I11" s="25">
        <v>66026</v>
      </c>
      <c r="J11" s="27">
        <f>+I11+H11</f>
        <v>66026</v>
      </c>
      <c r="K11" s="111">
        <f>+(J11-G11)/G11</f>
        <v>0.5770792528543448</v>
      </c>
      <c r="M11" s="101"/>
    </row>
    <row r="12" spans="1:13" x14ac:dyDescent="0.25">
      <c r="A12" s="33" t="s">
        <v>10</v>
      </c>
      <c r="B12" s="24">
        <v>101447</v>
      </c>
      <c r="C12" s="25">
        <v>132538</v>
      </c>
      <c r="D12" s="26">
        <f>+C12+B12</f>
        <v>233985</v>
      </c>
      <c r="E12" s="24">
        <v>133302</v>
      </c>
      <c r="F12" s="25">
        <v>99845</v>
      </c>
      <c r="G12" s="26">
        <f t="shared" ref="G12:G16" si="2">+F12+E12</f>
        <v>233147</v>
      </c>
      <c r="H12" s="27">
        <v>150769</v>
      </c>
      <c r="I12" s="25">
        <v>40492</v>
      </c>
      <c r="J12" s="27">
        <f t="shared" ref="J12:J16" si="3">+I12+H12</f>
        <v>191261</v>
      </c>
      <c r="K12" s="111">
        <f t="shared" si="0"/>
        <v>-0.17965489583824798</v>
      </c>
    </row>
    <row r="13" spans="1:13" ht="14.25" customHeight="1" x14ac:dyDescent="0.25">
      <c r="A13" s="33" t="s">
        <v>11</v>
      </c>
      <c r="B13" s="24">
        <v>1</v>
      </c>
      <c r="C13" s="25">
        <v>0</v>
      </c>
      <c r="D13" s="26">
        <f>+C13+B13</f>
        <v>1</v>
      </c>
      <c r="E13" s="24">
        <v>2</v>
      </c>
      <c r="F13" s="25">
        <v>1</v>
      </c>
      <c r="G13" s="26">
        <f t="shared" si="2"/>
        <v>3</v>
      </c>
      <c r="H13" s="27">
        <v>0</v>
      </c>
      <c r="I13" s="25">
        <v>0</v>
      </c>
      <c r="J13" s="27">
        <f t="shared" si="3"/>
        <v>0</v>
      </c>
      <c r="K13" s="111">
        <f t="shared" si="0"/>
        <v>-1</v>
      </c>
    </row>
    <row r="14" spans="1:13" x14ac:dyDescent="0.25">
      <c r="A14" s="33" t="s">
        <v>12</v>
      </c>
      <c r="B14" s="24">
        <v>3010</v>
      </c>
      <c r="C14" s="25">
        <v>51056</v>
      </c>
      <c r="D14" s="26">
        <f t="shared" ref="D14:D60" si="4">+C14+B14</f>
        <v>54066</v>
      </c>
      <c r="E14" s="24">
        <v>7023</v>
      </c>
      <c r="F14" s="25">
        <v>30985</v>
      </c>
      <c r="G14" s="26">
        <f t="shared" si="2"/>
        <v>38008</v>
      </c>
      <c r="H14" s="27">
        <v>3812</v>
      </c>
      <c r="I14" s="25">
        <v>169436</v>
      </c>
      <c r="J14" s="27">
        <f t="shared" si="3"/>
        <v>173248</v>
      </c>
      <c r="K14" s="111">
        <f t="shared" si="0"/>
        <v>3.5581982740475691</v>
      </c>
      <c r="L14" s="101"/>
      <c r="M14" s="101"/>
    </row>
    <row r="15" spans="1:13" ht="14.25" customHeight="1" x14ac:dyDescent="0.25">
      <c r="A15" s="33" t="s">
        <v>13</v>
      </c>
      <c r="B15" s="24">
        <f>16+1+1483+4+38+0</f>
        <v>1542</v>
      </c>
      <c r="C15" s="25">
        <f>5+2+56+57609+42056+2951</f>
        <v>102679</v>
      </c>
      <c r="D15" s="26">
        <f t="shared" si="4"/>
        <v>104221</v>
      </c>
      <c r="E15" s="24">
        <f>3+5+20+1+31</f>
        <v>60</v>
      </c>
      <c r="F15" s="25">
        <f>2080+4+2333+58402+48075</f>
        <v>110894</v>
      </c>
      <c r="G15" s="26">
        <f t="shared" si="2"/>
        <v>110954</v>
      </c>
      <c r="H15" s="27">
        <f>2+1+1+22</f>
        <v>26</v>
      </c>
      <c r="I15" s="25">
        <f>69641+34483+259+4+1962</f>
        <v>106349</v>
      </c>
      <c r="J15" s="27">
        <f t="shared" si="3"/>
        <v>106375</v>
      </c>
      <c r="K15" s="111">
        <f t="shared" si="0"/>
        <v>-4.1269354867783048E-2</v>
      </c>
    </row>
    <row r="16" spans="1:13" x14ac:dyDescent="0.25">
      <c r="A16" s="33" t="s">
        <v>14</v>
      </c>
      <c r="B16" s="24">
        <f>106370-B15-B14-B13-B12-B11</f>
        <v>370</v>
      </c>
      <c r="C16" s="25">
        <f>395283-C15-C14-C13-C12-C11</f>
        <v>29632</v>
      </c>
      <c r="D16" s="26">
        <f t="shared" si="4"/>
        <v>30002</v>
      </c>
      <c r="E16" s="24">
        <f>147328-E15-E14-E13-E12-E11</f>
        <v>6941</v>
      </c>
      <c r="F16" s="25">
        <f>317838-F15-F14-F13-F12-F11</f>
        <v>34247</v>
      </c>
      <c r="G16" s="26">
        <f t="shared" si="2"/>
        <v>41188</v>
      </c>
      <c r="H16" s="27">
        <f>168882-H15-H14-H13-H12-H11</f>
        <v>14275</v>
      </c>
      <c r="I16" s="25">
        <f>412928-I15-I14-I13-I12-I11</f>
        <v>30625</v>
      </c>
      <c r="J16" s="27">
        <f t="shared" si="3"/>
        <v>44900</v>
      </c>
      <c r="K16" s="111">
        <f t="shared" si="0"/>
        <v>9.0123336894241041E-2</v>
      </c>
    </row>
    <row r="17" spans="1:11" x14ac:dyDescent="0.25">
      <c r="A17" s="28" t="s">
        <v>15</v>
      </c>
      <c r="B17" s="29">
        <f>+B16+B15+B14+B13+B12+B11</f>
        <v>106370</v>
      </c>
      <c r="C17" s="30">
        <f>SUM(C11:C16)</f>
        <v>395283</v>
      </c>
      <c r="D17" s="31">
        <f>+C17+B17</f>
        <v>501653</v>
      </c>
      <c r="E17" s="29">
        <f>+E16+E15+E14+E13+E12+E11</f>
        <v>147328</v>
      </c>
      <c r="F17" s="30">
        <f>+F16+F15+F14+F13+F12+F11</f>
        <v>317838</v>
      </c>
      <c r="G17" s="31">
        <f>+F17+E17</f>
        <v>465166</v>
      </c>
      <c r="H17" s="160">
        <f>SUM(H11:H16)</f>
        <v>168882</v>
      </c>
      <c r="I17" s="30">
        <f>SUM(I11:I16)</f>
        <v>412928</v>
      </c>
      <c r="J17" s="34">
        <f>+I17+H17</f>
        <v>581810</v>
      </c>
      <c r="K17" s="112">
        <f t="shared" si="0"/>
        <v>0.2507577939918223</v>
      </c>
    </row>
    <row r="18" spans="1:11" x14ac:dyDescent="0.25">
      <c r="A18" s="35"/>
      <c r="B18" s="103"/>
      <c r="C18" s="36"/>
      <c r="D18" s="37"/>
      <c r="E18" s="103"/>
      <c r="F18" s="36"/>
      <c r="G18" s="37"/>
      <c r="H18" s="38"/>
      <c r="I18" s="36"/>
      <c r="J18" s="38"/>
      <c r="K18" s="111"/>
    </row>
    <row r="19" spans="1:11" x14ac:dyDescent="0.25">
      <c r="A19" s="28" t="s">
        <v>16</v>
      </c>
      <c r="B19" s="29">
        <v>1089549</v>
      </c>
      <c r="C19" s="30">
        <v>1086124</v>
      </c>
      <c r="D19" s="31">
        <f t="shared" si="4"/>
        <v>2175673</v>
      </c>
      <c r="E19" s="29">
        <v>1129753</v>
      </c>
      <c r="F19" s="30">
        <v>1107185</v>
      </c>
      <c r="G19" s="31">
        <f>+F19+E19</f>
        <v>2236938</v>
      </c>
      <c r="H19" s="160">
        <v>1192002</v>
      </c>
      <c r="I19" s="30">
        <v>1152570</v>
      </c>
      <c r="J19" s="34">
        <f>+I19+H19</f>
        <v>2344572</v>
      </c>
      <c r="K19" s="112">
        <f t="shared" si="0"/>
        <v>4.8116666621962699E-2</v>
      </c>
    </row>
    <row r="20" spans="1:11" x14ac:dyDescent="0.25">
      <c r="A20" s="39"/>
      <c r="B20" s="20"/>
      <c r="C20" s="19"/>
      <c r="D20" s="21"/>
      <c r="E20" s="20"/>
      <c r="F20" s="19"/>
      <c r="G20" s="21"/>
      <c r="H20" s="18"/>
      <c r="I20" s="19"/>
      <c r="J20" s="18"/>
      <c r="K20" s="111"/>
    </row>
    <row r="21" spans="1:11" x14ac:dyDescent="0.25">
      <c r="A21" s="28" t="s">
        <v>17</v>
      </c>
      <c r="B21" s="29">
        <v>782050</v>
      </c>
      <c r="C21" s="30">
        <v>413939</v>
      </c>
      <c r="D21" s="31">
        <f t="shared" si="4"/>
        <v>1195989</v>
      </c>
      <c r="E21" s="29">
        <v>786964</v>
      </c>
      <c r="F21" s="30">
        <v>453383</v>
      </c>
      <c r="G21" s="31">
        <f>+F21+E21</f>
        <v>1240347</v>
      </c>
      <c r="H21" s="160">
        <v>641031</v>
      </c>
      <c r="I21" s="30">
        <v>465392</v>
      </c>
      <c r="J21" s="34">
        <f>+I21+H21</f>
        <v>1106423</v>
      </c>
      <c r="K21" s="112">
        <f t="shared" si="0"/>
        <v>-0.10797301077843539</v>
      </c>
    </row>
    <row r="22" spans="1:11" ht="15.75" thickBot="1" x14ac:dyDescent="0.3">
      <c r="A22" s="143"/>
      <c r="B22" s="145"/>
      <c r="C22" s="146"/>
      <c r="D22" s="144"/>
      <c r="E22" s="145"/>
      <c r="F22" s="146"/>
      <c r="G22" s="144"/>
      <c r="H22" s="147"/>
      <c r="I22" s="146"/>
      <c r="J22" s="147"/>
      <c r="K22" s="148"/>
    </row>
    <row r="23" spans="1:11" ht="16.5" thickBot="1" x14ac:dyDescent="0.3">
      <c r="A23" s="85" t="s">
        <v>18</v>
      </c>
      <c r="B23" s="149">
        <f>+B21+B19+B17+B9</f>
        <v>3234313</v>
      </c>
      <c r="C23" s="150">
        <f>+C21+C19+C17+C9</f>
        <v>5363197</v>
      </c>
      <c r="D23" s="151">
        <f t="shared" si="4"/>
        <v>8597510</v>
      </c>
      <c r="E23" s="149">
        <f>+E21+E19+E17+E9</f>
        <v>3481595</v>
      </c>
      <c r="F23" s="150">
        <f>+F21+F19+F17+F9</f>
        <v>5486097</v>
      </c>
      <c r="G23" s="151">
        <f>+F23+E23</f>
        <v>8967692</v>
      </c>
      <c r="H23" s="152">
        <f>+H21+H19+H17+H9</f>
        <v>3353088</v>
      </c>
      <c r="I23" s="159">
        <f>+I21+I19+I17+I9</f>
        <v>5323030</v>
      </c>
      <c r="J23" s="152">
        <f>+I23+H23</f>
        <v>8676118</v>
      </c>
      <c r="K23" s="162">
        <f t="shared" si="0"/>
        <v>-3.2513828530239444E-2</v>
      </c>
    </row>
    <row r="24" spans="1:11" x14ac:dyDescent="0.25">
      <c r="A24" s="40"/>
      <c r="B24" s="104"/>
      <c r="C24" s="41"/>
      <c r="D24" s="42"/>
      <c r="E24" s="104"/>
      <c r="F24" s="41"/>
      <c r="G24" s="42"/>
      <c r="H24" s="43"/>
      <c r="I24" s="41"/>
      <c r="J24" s="43"/>
      <c r="K24" s="122"/>
    </row>
    <row r="25" spans="1:11" x14ac:dyDescent="0.25">
      <c r="A25" s="44" t="s">
        <v>19</v>
      </c>
      <c r="B25" s="105"/>
      <c r="C25" s="45"/>
      <c r="D25" s="46"/>
      <c r="E25" s="105"/>
      <c r="F25" s="45"/>
      <c r="G25" s="46"/>
      <c r="H25" s="47"/>
      <c r="I25" s="45"/>
      <c r="J25" s="47"/>
      <c r="K25" s="123"/>
    </row>
    <row r="26" spans="1:11" x14ac:dyDescent="0.25">
      <c r="A26" s="23" t="s">
        <v>20</v>
      </c>
      <c r="B26" s="24">
        <f>4296+1346</f>
        <v>5642</v>
      </c>
      <c r="C26" s="25">
        <f>2538+20522</f>
        <v>23060</v>
      </c>
      <c r="D26" s="26">
        <f t="shared" si="4"/>
        <v>28702</v>
      </c>
      <c r="E26" s="24">
        <f>4314+1667</f>
        <v>5981</v>
      </c>
      <c r="F26" s="25">
        <f>2663+20135</f>
        <v>22798</v>
      </c>
      <c r="G26" s="26">
        <f>+F26+E26</f>
        <v>28779</v>
      </c>
      <c r="H26" s="27">
        <f>5140+1303</f>
        <v>6443</v>
      </c>
      <c r="I26" s="25">
        <f>2194+14266</f>
        <v>16460</v>
      </c>
      <c r="J26" s="27">
        <f>+I26+H26</f>
        <v>22903</v>
      </c>
      <c r="K26" s="111">
        <f t="shared" si="0"/>
        <v>-0.20417665658987455</v>
      </c>
    </row>
    <row r="27" spans="1:11" x14ac:dyDescent="0.25">
      <c r="A27" s="23" t="s">
        <v>21</v>
      </c>
      <c r="B27" s="24">
        <f>13558+34619</f>
        <v>48177</v>
      </c>
      <c r="C27" s="25">
        <f>14978+15066</f>
        <v>30044</v>
      </c>
      <c r="D27" s="26">
        <f t="shared" si="4"/>
        <v>78221</v>
      </c>
      <c r="E27" s="24">
        <f>13139+35860</f>
        <v>48999</v>
      </c>
      <c r="F27" s="25">
        <f>15720+17343</f>
        <v>33063</v>
      </c>
      <c r="G27" s="26">
        <f t="shared" ref="G27:G28" si="5">+F27+E27</f>
        <v>82062</v>
      </c>
      <c r="H27" s="27">
        <f>12009+32530</f>
        <v>44539</v>
      </c>
      <c r="I27" s="25">
        <f>15915+18458</f>
        <v>34373</v>
      </c>
      <c r="J27" s="27">
        <f t="shared" ref="J27:J28" si="6">+I27+H27</f>
        <v>78912</v>
      </c>
      <c r="K27" s="111">
        <f t="shared" si="0"/>
        <v>-3.8385610879578855E-2</v>
      </c>
    </row>
    <row r="28" spans="1:11" x14ac:dyDescent="0.25">
      <c r="A28" s="48" t="s">
        <v>22</v>
      </c>
      <c r="B28" s="24">
        <f>+B27+B26</f>
        <v>53819</v>
      </c>
      <c r="C28" s="25">
        <f>+C27+C26</f>
        <v>53104</v>
      </c>
      <c r="D28" s="58">
        <f t="shared" si="4"/>
        <v>106923</v>
      </c>
      <c r="E28" s="24">
        <f>+E27+E26</f>
        <v>54980</v>
      </c>
      <c r="F28" s="25">
        <f>+F27+F26</f>
        <v>55861</v>
      </c>
      <c r="G28" s="58">
        <f t="shared" si="5"/>
        <v>110841</v>
      </c>
      <c r="H28" s="27">
        <f>+H27+H26</f>
        <v>50982</v>
      </c>
      <c r="I28" s="25">
        <f>+I27+I26</f>
        <v>50833</v>
      </c>
      <c r="J28" s="97">
        <f t="shared" si="6"/>
        <v>101815</v>
      </c>
      <c r="K28" s="111">
        <f t="shared" si="0"/>
        <v>-8.1431961097427841E-2</v>
      </c>
    </row>
    <row r="29" spans="1:11" x14ac:dyDescent="0.25">
      <c r="A29" s="49"/>
      <c r="B29" s="24"/>
      <c r="C29" s="25"/>
      <c r="D29" s="26"/>
      <c r="E29" s="24"/>
      <c r="F29" s="25"/>
      <c r="G29" s="26"/>
      <c r="H29" s="27"/>
      <c r="I29" s="25"/>
      <c r="J29" s="27"/>
      <c r="K29" s="111"/>
    </row>
    <row r="30" spans="1:11" ht="15.75" x14ac:dyDescent="0.25">
      <c r="A30" s="50" t="s">
        <v>23</v>
      </c>
      <c r="B30" s="106">
        <v>89784</v>
      </c>
      <c r="C30" s="100">
        <v>88692</v>
      </c>
      <c r="D30" s="51">
        <f t="shared" si="4"/>
        <v>178476</v>
      </c>
      <c r="E30" s="128">
        <v>92507</v>
      </c>
      <c r="F30" s="129">
        <v>93339</v>
      </c>
      <c r="G30" s="155">
        <f>+F30+E30</f>
        <v>185846</v>
      </c>
      <c r="H30" s="130">
        <v>84815</v>
      </c>
      <c r="I30" s="129">
        <v>83557</v>
      </c>
      <c r="J30" s="130">
        <f>+I30+H30</f>
        <v>168372</v>
      </c>
      <c r="K30" s="131">
        <f t="shared" si="0"/>
        <v>-9.4024084457023552E-2</v>
      </c>
    </row>
    <row r="31" spans="1:11" ht="15.75" thickBot="1" x14ac:dyDescent="0.3">
      <c r="A31" s="52"/>
      <c r="B31" s="132"/>
      <c r="C31" s="126"/>
      <c r="D31" s="133"/>
      <c r="E31" s="132"/>
      <c r="F31" s="126"/>
      <c r="G31" s="133"/>
      <c r="H31" s="121"/>
      <c r="I31" s="126"/>
      <c r="J31" s="121"/>
      <c r="K31" s="134"/>
    </row>
    <row r="32" spans="1:11" ht="15.75" thickBot="1" x14ac:dyDescent="0.3">
      <c r="A32" s="136" t="s">
        <v>24</v>
      </c>
      <c r="B32" s="137">
        <v>101038</v>
      </c>
      <c r="C32" s="138">
        <v>94072</v>
      </c>
      <c r="D32" s="139">
        <f t="shared" si="4"/>
        <v>195110</v>
      </c>
      <c r="E32" s="156">
        <v>111254</v>
      </c>
      <c r="F32" s="141">
        <v>98105</v>
      </c>
      <c r="G32" s="139">
        <f>+F32+E32</f>
        <v>209359</v>
      </c>
      <c r="H32" s="140">
        <v>119531</v>
      </c>
      <c r="I32" s="141">
        <v>110932</v>
      </c>
      <c r="J32" s="140">
        <f>+I32+H32</f>
        <v>230463</v>
      </c>
      <c r="K32" s="142">
        <f t="shared" si="0"/>
        <v>0.10080292702964763</v>
      </c>
    </row>
    <row r="33" spans="1:11" x14ac:dyDescent="0.25">
      <c r="A33" s="135"/>
      <c r="B33" s="107"/>
      <c r="C33" s="55"/>
      <c r="D33" s="53"/>
      <c r="E33" s="107"/>
      <c r="F33" s="55"/>
      <c r="G33" s="53"/>
      <c r="H33" s="54"/>
      <c r="I33" s="55"/>
      <c r="J33" s="54"/>
      <c r="K33" s="127"/>
    </row>
    <row r="34" spans="1:11" x14ac:dyDescent="0.25">
      <c r="A34" s="56" t="s">
        <v>25</v>
      </c>
      <c r="B34" s="24">
        <v>54198</v>
      </c>
      <c r="C34" s="25">
        <v>56060</v>
      </c>
      <c r="D34" s="26">
        <f t="shared" si="4"/>
        <v>110258</v>
      </c>
      <c r="E34" s="24">
        <v>48669</v>
      </c>
      <c r="F34" s="25">
        <v>52349</v>
      </c>
      <c r="G34" s="26">
        <f>+F34+E34</f>
        <v>101018</v>
      </c>
      <c r="H34" s="27">
        <v>53455</v>
      </c>
      <c r="I34" s="25">
        <v>57375</v>
      </c>
      <c r="J34" s="27">
        <f>+I34+H34</f>
        <v>110830</v>
      </c>
      <c r="K34" s="111">
        <f t="shared" si="0"/>
        <v>9.7131204339820629E-2</v>
      </c>
    </row>
    <row r="35" spans="1:11" x14ac:dyDescent="0.25">
      <c r="A35" s="56" t="s">
        <v>26</v>
      </c>
      <c r="B35" s="24">
        <v>4362</v>
      </c>
      <c r="C35" s="25">
        <v>4856</v>
      </c>
      <c r="D35" s="26">
        <f t="shared" si="4"/>
        <v>9218</v>
      </c>
      <c r="E35" s="24">
        <v>4656</v>
      </c>
      <c r="F35" s="25">
        <v>5290</v>
      </c>
      <c r="G35" s="26">
        <f t="shared" ref="G35:G46" si="7">+F35+E35</f>
        <v>9946</v>
      </c>
      <c r="H35" s="27">
        <v>3788</v>
      </c>
      <c r="I35" s="25">
        <v>3899</v>
      </c>
      <c r="J35" s="27">
        <f t="shared" ref="J35:J46" si="8">+I35+H35</f>
        <v>7687</v>
      </c>
      <c r="K35" s="111">
        <f t="shared" si="0"/>
        <v>-0.22712648300824453</v>
      </c>
    </row>
    <row r="36" spans="1:11" x14ac:dyDescent="0.25">
      <c r="A36" s="56" t="s">
        <v>27</v>
      </c>
      <c r="B36" s="24">
        <v>4093</v>
      </c>
      <c r="C36" s="25">
        <v>3191</v>
      </c>
      <c r="D36" s="26">
        <f t="shared" si="4"/>
        <v>7284</v>
      </c>
      <c r="E36" s="24">
        <v>7928</v>
      </c>
      <c r="F36" s="25">
        <v>6205</v>
      </c>
      <c r="G36" s="26">
        <f t="shared" si="7"/>
        <v>14133</v>
      </c>
      <c r="H36" s="27">
        <v>7798</v>
      </c>
      <c r="I36" s="25">
        <v>6831</v>
      </c>
      <c r="J36" s="27">
        <f t="shared" si="8"/>
        <v>14629</v>
      </c>
      <c r="K36" s="111">
        <f t="shared" si="0"/>
        <v>3.5095167338852332E-2</v>
      </c>
    </row>
    <row r="37" spans="1:11" x14ac:dyDescent="0.25">
      <c r="A37" s="56" t="s">
        <v>28</v>
      </c>
      <c r="B37" s="24">
        <v>32</v>
      </c>
      <c r="C37" s="25">
        <v>4</v>
      </c>
      <c r="D37" s="26">
        <f t="shared" si="4"/>
        <v>36</v>
      </c>
      <c r="E37" s="24">
        <v>66</v>
      </c>
      <c r="F37" s="25">
        <v>150</v>
      </c>
      <c r="G37" s="26">
        <f t="shared" si="7"/>
        <v>216</v>
      </c>
      <c r="H37" s="27">
        <v>71</v>
      </c>
      <c r="I37" s="25">
        <v>49</v>
      </c>
      <c r="J37" s="27">
        <f t="shared" si="8"/>
        <v>120</v>
      </c>
      <c r="K37" s="111">
        <f t="shared" si="0"/>
        <v>-0.44444444444444442</v>
      </c>
    </row>
    <row r="38" spans="1:11" x14ac:dyDescent="0.25">
      <c r="A38" s="56" t="s">
        <v>46</v>
      </c>
      <c r="B38" s="24">
        <v>0</v>
      </c>
      <c r="C38" s="25">
        <v>1127</v>
      </c>
      <c r="D38" s="26">
        <f t="shared" si="4"/>
        <v>1127</v>
      </c>
      <c r="E38" s="24">
        <v>57</v>
      </c>
      <c r="F38" s="25">
        <v>1888</v>
      </c>
      <c r="G38" s="26">
        <f t="shared" si="7"/>
        <v>1945</v>
      </c>
      <c r="H38" s="27">
        <v>0</v>
      </c>
      <c r="I38" s="25">
        <v>801</v>
      </c>
      <c r="J38" s="27">
        <f t="shared" si="8"/>
        <v>801</v>
      </c>
      <c r="K38" s="111">
        <f t="shared" si="0"/>
        <v>-0.58817480719794346</v>
      </c>
    </row>
    <row r="39" spans="1:11" x14ac:dyDescent="0.25">
      <c r="A39" s="57" t="s">
        <v>29</v>
      </c>
      <c r="B39" s="24">
        <f t="shared" ref="B39:F39" si="9">SUM(B34:B38)</f>
        <v>62685</v>
      </c>
      <c r="C39" s="25">
        <f t="shared" si="9"/>
        <v>65238</v>
      </c>
      <c r="D39" s="58">
        <f t="shared" si="9"/>
        <v>127923</v>
      </c>
      <c r="E39" s="24">
        <f t="shared" si="9"/>
        <v>61376</v>
      </c>
      <c r="F39" s="25">
        <f t="shared" si="9"/>
        <v>65882</v>
      </c>
      <c r="G39" s="58">
        <f t="shared" si="7"/>
        <v>127258</v>
      </c>
      <c r="H39" s="27">
        <f>SUM(H34:H38)</f>
        <v>65112</v>
      </c>
      <c r="I39" s="25">
        <f>SUM(I34:I38)</f>
        <v>68955</v>
      </c>
      <c r="J39" s="97">
        <f t="shared" si="8"/>
        <v>134067</v>
      </c>
      <c r="K39" s="111">
        <f t="shared" si="0"/>
        <v>5.3505477062345784E-2</v>
      </c>
    </row>
    <row r="40" spans="1:11" x14ac:dyDescent="0.25">
      <c r="A40" s="59"/>
      <c r="B40" s="108"/>
      <c r="C40" s="62"/>
      <c r="D40" s="61"/>
      <c r="E40" s="108"/>
      <c r="F40" s="62"/>
      <c r="G40" s="26"/>
      <c r="H40" s="27"/>
      <c r="I40" s="25"/>
      <c r="J40" s="27"/>
      <c r="K40" s="111"/>
    </row>
    <row r="41" spans="1:11" x14ac:dyDescent="0.25">
      <c r="A41" s="63" t="s">
        <v>30</v>
      </c>
      <c r="B41" s="109">
        <v>4146</v>
      </c>
      <c r="C41" s="60">
        <v>3823</v>
      </c>
      <c r="D41" s="64">
        <f t="shared" si="4"/>
        <v>7969</v>
      </c>
      <c r="E41" s="109">
        <v>7157</v>
      </c>
      <c r="F41" s="60">
        <v>6056</v>
      </c>
      <c r="G41" s="26">
        <f t="shared" si="7"/>
        <v>13213</v>
      </c>
      <c r="H41" s="27">
        <v>6909</v>
      </c>
      <c r="I41" s="25">
        <v>5719</v>
      </c>
      <c r="J41" s="27">
        <f t="shared" si="8"/>
        <v>12628</v>
      </c>
      <c r="K41" s="111">
        <f t="shared" si="0"/>
        <v>-4.4274578067055176E-2</v>
      </c>
    </row>
    <row r="42" spans="1:11" x14ac:dyDescent="0.25">
      <c r="A42" s="63" t="s">
        <v>49</v>
      </c>
      <c r="B42" s="109">
        <v>7</v>
      </c>
      <c r="C42" s="60">
        <v>11</v>
      </c>
      <c r="D42" s="64">
        <f t="shared" si="4"/>
        <v>18</v>
      </c>
      <c r="E42" s="109">
        <v>2</v>
      </c>
      <c r="F42" s="60">
        <v>2</v>
      </c>
      <c r="G42" s="26">
        <f t="shared" si="7"/>
        <v>4</v>
      </c>
      <c r="H42" s="27">
        <v>0</v>
      </c>
      <c r="I42" s="25">
        <v>0</v>
      </c>
      <c r="J42" s="27">
        <f t="shared" si="8"/>
        <v>0</v>
      </c>
      <c r="K42" s="111">
        <f t="shared" si="0"/>
        <v>-1</v>
      </c>
    </row>
    <row r="43" spans="1:11" x14ac:dyDescent="0.25">
      <c r="A43" s="63" t="s">
        <v>31</v>
      </c>
      <c r="B43" s="109">
        <v>340</v>
      </c>
      <c r="C43" s="60">
        <v>316</v>
      </c>
      <c r="D43" s="64">
        <f t="shared" si="4"/>
        <v>656</v>
      </c>
      <c r="E43" s="109">
        <v>622</v>
      </c>
      <c r="F43" s="60">
        <v>583</v>
      </c>
      <c r="G43" s="26">
        <f t="shared" si="7"/>
        <v>1205</v>
      </c>
      <c r="H43" s="27">
        <v>885</v>
      </c>
      <c r="I43" s="25">
        <v>1054</v>
      </c>
      <c r="J43" s="27">
        <f t="shared" si="8"/>
        <v>1939</v>
      </c>
      <c r="K43" s="111">
        <f t="shared" si="0"/>
        <v>0.60912863070539414</v>
      </c>
    </row>
    <row r="44" spans="1:11" x14ac:dyDescent="0.25">
      <c r="A44" s="63" t="s">
        <v>32</v>
      </c>
      <c r="B44" s="109">
        <v>12</v>
      </c>
      <c r="C44" s="60">
        <v>0</v>
      </c>
      <c r="D44" s="64">
        <f t="shared" si="4"/>
        <v>12</v>
      </c>
      <c r="E44" s="109">
        <v>19</v>
      </c>
      <c r="F44" s="60">
        <v>13</v>
      </c>
      <c r="G44" s="26">
        <f t="shared" si="7"/>
        <v>32</v>
      </c>
      <c r="H44" s="27">
        <v>12</v>
      </c>
      <c r="I44" s="25">
        <v>3</v>
      </c>
      <c r="J44" s="27">
        <f t="shared" si="8"/>
        <v>15</v>
      </c>
      <c r="K44" s="111">
        <f t="shared" si="0"/>
        <v>-0.53125</v>
      </c>
    </row>
    <row r="45" spans="1:11" x14ac:dyDescent="0.25">
      <c r="A45" s="63" t="s">
        <v>51</v>
      </c>
      <c r="B45" s="117">
        <v>0</v>
      </c>
      <c r="C45" s="65">
        <v>3</v>
      </c>
      <c r="D45" s="118">
        <f>+C45+B45</f>
        <v>3</v>
      </c>
      <c r="E45" s="157">
        <v>0</v>
      </c>
      <c r="F45" s="65">
        <f>28+21</f>
        <v>49</v>
      </c>
      <c r="G45" s="26">
        <f t="shared" si="7"/>
        <v>49</v>
      </c>
      <c r="H45" s="27">
        <v>0</v>
      </c>
      <c r="I45" s="25">
        <v>11</v>
      </c>
      <c r="J45" s="27">
        <f t="shared" si="8"/>
        <v>11</v>
      </c>
      <c r="K45" s="111">
        <f t="shared" si="0"/>
        <v>-0.77551020408163263</v>
      </c>
    </row>
    <row r="46" spans="1:11" ht="15.75" thickBot="1" x14ac:dyDescent="0.3">
      <c r="A46" s="66" t="s">
        <v>33</v>
      </c>
      <c r="B46" s="119">
        <f>SUM(B41:B45)</f>
        <v>4505</v>
      </c>
      <c r="C46" s="67">
        <f>SUM(C41:C45)</f>
        <v>4153</v>
      </c>
      <c r="D46" s="120">
        <f>SUM(D41:D45)</f>
        <v>8658</v>
      </c>
      <c r="E46" s="158">
        <f>SUM(E41:E45)</f>
        <v>7800</v>
      </c>
      <c r="F46" s="67">
        <f>SUM(F41:F45)</f>
        <v>6703</v>
      </c>
      <c r="G46" s="58">
        <f t="shared" si="7"/>
        <v>14503</v>
      </c>
      <c r="H46" s="27">
        <f>SUM(H41:H45)</f>
        <v>7806</v>
      </c>
      <c r="I46" s="92">
        <f>SUM(I41:I45)</f>
        <v>6787</v>
      </c>
      <c r="J46" s="97">
        <f t="shared" si="8"/>
        <v>14593</v>
      </c>
      <c r="K46" s="111">
        <f t="shared" si="0"/>
        <v>6.2056126318692688E-3</v>
      </c>
    </row>
    <row r="47" spans="1:11" ht="16.5" thickBot="1" x14ac:dyDescent="0.3">
      <c r="A47" s="68" t="s">
        <v>34</v>
      </c>
      <c r="B47" s="69">
        <f t="shared" ref="B47:F47" si="10">+B46+B39</f>
        <v>67190</v>
      </c>
      <c r="C47" s="70">
        <f t="shared" si="10"/>
        <v>69391</v>
      </c>
      <c r="D47" s="71">
        <f t="shared" si="10"/>
        <v>136581</v>
      </c>
      <c r="E47" s="69">
        <f>+E46+E39</f>
        <v>69176</v>
      </c>
      <c r="F47" s="70">
        <f t="shared" si="10"/>
        <v>72585</v>
      </c>
      <c r="G47" s="71">
        <f>+G46+G39</f>
        <v>141761</v>
      </c>
      <c r="H47" s="169">
        <f>+H46+H39</f>
        <v>72918</v>
      </c>
      <c r="I47" s="70">
        <f>+I46+I39</f>
        <v>75742</v>
      </c>
      <c r="J47" s="71">
        <f>+J46+J39</f>
        <v>148660</v>
      </c>
      <c r="K47" s="116">
        <f t="shared" si="0"/>
        <v>4.8666417420870335E-2</v>
      </c>
    </row>
    <row r="48" spans="1:11" ht="15.75" x14ac:dyDescent="0.25">
      <c r="A48" s="72"/>
      <c r="B48" s="110"/>
      <c r="C48" s="75"/>
      <c r="D48" s="73"/>
      <c r="E48" s="110"/>
      <c r="F48" s="75"/>
      <c r="G48" s="73"/>
      <c r="H48" s="74"/>
      <c r="I48" s="75"/>
      <c r="J48" s="74"/>
      <c r="K48" s="111"/>
    </row>
    <row r="49" spans="1:14" x14ac:dyDescent="0.25">
      <c r="A49" s="56" t="s">
        <v>35</v>
      </c>
      <c r="B49" s="24">
        <v>341817</v>
      </c>
      <c r="C49" s="25">
        <v>340337</v>
      </c>
      <c r="D49" s="26">
        <f t="shared" si="4"/>
        <v>682154</v>
      </c>
      <c r="E49" s="24">
        <v>335236</v>
      </c>
      <c r="F49" s="25">
        <v>311977</v>
      </c>
      <c r="G49" s="26">
        <f>+F49+E49</f>
        <v>647213</v>
      </c>
      <c r="H49" s="27">
        <v>387742</v>
      </c>
      <c r="I49" s="25">
        <v>373882</v>
      </c>
      <c r="J49" s="27">
        <f>+I49+H49</f>
        <v>761624</v>
      </c>
      <c r="K49" s="111">
        <f t="shared" si="0"/>
        <v>0.17677487936737982</v>
      </c>
    </row>
    <row r="50" spans="1:14" x14ac:dyDescent="0.25">
      <c r="A50" s="76" t="s">
        <v>36</v>
      </c>
      <c r="B50" s="24">
        <v>123126</v>
      </c>
      <c r="C50" s="25">
        <v>128629</v>
      </c>
      <c r="D50" s="26">
        <f t="shared" si="4"/>
        <v>251755</v>
      </c>
      <c r="E50" s="24">
        <v>112490</v>
      </c>
      <c r="F50" s="25">
        <v>116075</v>
      </c>
      <c r="G50" s="26">
        <f t="shared" ref="G50:G53" si="11">+F50+E50</f>
        <v>228565</v>
      </c>
      <c r="H50" s="27">
        <v>101682</v>
      </c>
      <c r="I50" s="25">
        <v>104369</v>
      </c>
      <c r="J50" s="27">
        <f t="shared" ref="J50:J53" si="12">+I50+H50</f>
        <v>206051</v>
      </c>
      <c r="K50" s="111">
        <f t="shared" si="0"/>
        <v>-9.8501520355259997E-2</v>
      </c>
    </row>
    <row r="51" spans="1:14" x14ac:dyDescent="0.25">
      <c r="A51" s="76" t="s">
        <v>37</v>
      </c>
      <c r="B51" s="24">
        <v>15588</v>
      </c>
      <c r="C51" s="25">
        <v>20439</v>
      </c>
      <c r="D51" s="26">
        <f t="shared" si="4"/>
        <v>36027</v>
      </c>
      <c r="E51" s="24">
        <v>36568</v>
      </c>
      <c r="F51" s="25">
        <v>36897</v>
      </c>
      <c r="G51" s="26">
        <f t="shared" si="11"/>
        <v>73465</v>
      </c>
      <c r="H51" s="27">
        <v>34112</v>
      </c>
      <c r="I51" s="25">
        <v>36085</v>
      </c>
      <c r="J51" s="27">
        <f t="shared" si="12"/>
        <v>70197</v>
      </c>
      <c r="K51" s="111">
        <f t="shared" si="0"/>
        <v>-4.4483767780575785E-2</v>
      </c>
    </row>
    <row r="52" spans="1:14" x14ac:dyDescent="0.25">
      <c r="A52" s="76" t="s">
        <v>47</v>
      </c>
      <c r="B52" s="24">
        <v>0</v>
      </c>
      <c r="C52" s="25">
        <v>0</v>
      </c>
      <c r="D52" s="26">
        <f t="shared" si="4"/>
        <v>0</v>
      </c>
      <c r="E52" s="24">
        <v>0</v>
      </c>
      <c r="F52" s="25">
        <v>0</v>
      </c>
      <c r="G52" s="26">
        <f t="shared" si="11"/>
        <v>0</v>
      </c>
      <c r="H52" s="27">
        <v>0</v>
      </c>
      <c r="I52" s="25">
        <v>0</v>
      </c>
      <c r="J52" s="27">
        <f t="shared" si="12"/>
        <v>0</v>
      </c>
      <c r="K52" s="111"/>
    </row>
    <row r="53" spans="1:14" x14ac:dyDescent="0.25">
      <c r="A53" s="76" t="s">
        <v>38</v>
      </c>
      <c r="B53" s="24">
        <v>339</v>
      </c>
      <c r="C53" s="25">
        <v>592</v>
      </c>
      <c r="D53" s="26">
        <f t="shared" si="4"/>
        <v>931</v>
      </c>
      <c r="E53" s="24">
        <v>1005</v>
      </c>
      <c r="F53" s="25">
        <v>737</v>
      </c>
      <c r="G53" s="26">
        <f t="shared" si="11"/>
        <v>1742</v>
      </c>
      <c r="H53" s="27">
        <v>375</v>
      </c>
      <c r="I53" s="25">
        <v>306</v>
      </c>
      <c r="J53" s="27">
        <f t="shared" si="12"/>
        <v>681</v>
      </c>
      <c r="K53" s="111">
        <f t="shared" si="0"/>
        <v>-0.60907003444316876</v>
      </c>
    </row>
    <row r="54" spans="1:14" x14ac:dyDescent="0.25">
      <c r="A54" s="77" t="s">
        <v>39</v>
      </c>
      <c r="B54" s="82">
        <f t="shared" ref="B54:G54" si="13">SUM(B49:B53)</f>
        <v>480870</v>
      </c>
      <c r="C54" s="78">
        <f t="shared" si="13"/>
        <v>489997</v>
      </c>
      <c r="D54" s="83">
        <f t="shared" si="13"/>
        <v>970867</v>
      </c>
      <c r="E54" s="82">
        <f t="shared" si="13"/>
        <v>485299</v>
      </c>
      <c r="F54" s="78">
        <f t="shared" si="13"/>
        <v>465686</v>
      </c>
      <c r="G54" s="83">
        <f t="shared" si="13"/>
        <v>950985</v>
      </c>
      <c r="H54" s="161">
        <f>SUM(H49:H53)</f>
        <v>523911</v>
      </c>
      <c r="I54" s="78">
        <f>SUM(I49:I53)</f>
        <v>514642</v>
      </c>
      <c r="J54" s="83">
        <f>SUM(J49:J53)</f>
        <v>1038553</v>
      </c>
      <c r="K54" s="112">
        <f t="shared" si="0"/>
        <v>9.2081368265535202E-2</v>
      </c>
    </row>
    <row r="55" spans="1:14" x14ac:dyDescent="0.25">
      <c r="A55" s="77" t="s">
        <v>40</v>
      </c>
      <c r="B55" s="82">
        <v>3185</v>
      </c>
      <c r="C55" s="79">
        <v>3491</v>
      </c>
      <c r="D55" s="83">
        <f t="shared" si="4"/>
        <v>6676</v>
      </c>
      <c r="E55" s="82">
        <v>5112</v>
      </c>
      <c r="F55" s="79">
        <v>5784</v>
      </c>
      <c r="G55" s="83">
        <f>+F55+E55</f>
        <v>10896</v>
      </c>
      <c r="H55" s="161">
        <v>5566</v>
      </c>
      <c r="I55" s="79">
        <v>5552</v>
      </c>
      <c r="J55" s="83">
        <f>+I55+H55</f>
        <v>11118</v>
      </c>
      <c r="K55" s="112">
        <f t="shared" si="0"/>
        <v>2.0374449339207047E-2</v>
      </c>
      <c r="M55" s="101"/>
      <c r="N55" s="101"/>
    </row>
    <row r="56" spans="1:14" ht="15.75" thickBot="1" x14ac:dyDescent="0.3">
      <c r="A56" s="81" t="s">
        <v>41</v>
      </c>
      <c r="B56" s="98"/>
      <c r="C56" s="84"/>
      <c r="D56" s="83">
        <v>32601</v>
      </c>
      <c r="E56" s="98"/>
      <c r="F56" s="84"/>
      <c r="G56" s="83">
        <v>44005</v>
      </c>
      <c r="H56" s="80"/>
      <c r="I56" s="84"/>
      <c r="J56" s="80">
        <v>40968</v>
      </c>
      <c r="K56" s="112">
        <f t="shared" si="0"/>
        <v>-6.9014884672196339E-2</v>
      </c>
    </row>
    <row r="57" spans="1:14" ht="16.5" thickBot="1" x14ac:dyDescent="0.3">
      <c r="A57" s="85" t="s">
        <v>42</v>
      </c>
      <c r="B57" s="99"/>
      <c r="C57" s="87"/>
      <c r="D57" s="86">
        <f>+D56+D55+D54</f>
        <v>1010144</v>
      </c>
      <c r="E57" s="99"/>
      <c r="F57" s="87"/>
      <c r="G57" s="86">
        <f>+G56+G55+G54</f>
        <v>1005886</v>
      </c>
      <c r="H57" s="125"/>
      <c r="I57" s="87"/>
      <c r="J57" s="86">
        <f>+J56+J55+J54</f>
        <v>1090639</v>
      </c>
      <c r="K57" s="116">
        <f t="shared" si="0"/>
        <v>8.4257062927608095E-2</v>
      </c>
    </row>
    <row r="58" spans="1:14" x14ac:dyDescent="0.25">
      <c r="A58" s="95" t="s">
        <v>43</v>
      </c>
      <c r="B58" s="88">
        <v>2239</v>
      </c>
      <c r="C58" s="89">
        <v>2243</v>
      </c>
      <c r="D58" s="90">
        <f t="shared" si="4"/>
        <v>4482</v>
      </c>
      <c r="E58" s="88">
        <v>2285</v>
      </c>
      <c r="F58" s="89">
        <v>2285</v>
      </c>
      <c r="G58" s="90">
        <f>+F58+E58</f>
        <v>4570</v>
      </c>
      <c r="H58" s="163">
        <v>2045</v>
      </c>
      <c r="I58" s="164">
        <v>2044</v>
      </c>
      <c r="J58" s="165">
        <f t="shared" ref="J58:J60" si="14">+I58+H58</f>
        <v>4089</v>
      </c>
      <c r="K58" s="111">
        <f>+(J58-G58)/G58</f>
        <v>-0.10525164113785558</v>
      </c>
    </row>
    <row r="59" spans="1:14" x14ac:dyDescent="0.25">
      <c r="A59" s="56" t="s">
        <v>45</v>
      </c>
      <c r="B59" s="88">
        <v>52252718</v>
      </c>
      <c r="C59" s="89">
        <v>52315397</v>
      </c>
      <c r="D59" s="90">
        <f t="shared" si="4"/>
        <v>104568115</v>
      </c>
      <c r="E59" s="88">
        <v>54441282</v>
      </c>
      <c r="F59" s="89">
        <v>54491226</v>
      </c>
      <c r="G59" s="90">
        <f>+F59+E59</f>
        <v>108932508</v>
      </c>
      <c r="H59" s="166">
        <v>48548845</v>
      </c>
      <c r="I59" s="89">
        <v>48536417</v>
      </c>
      <c r="J59" s="90">
        <f t="shared" si="14"/>
        <v>97085262</v>
      </c>
      <c r="K59" s="111">
        <f t="shared" ref="K59:K60" si="15">+(J59-G59)/G59</f>
        <v>-0.10875767222765127</v>
      </c>
    </row>
    <row r="60" spans="1:14" ht="15.75" thickBot="1" x14ac:dyDescent="0.3">
      <c r="A60" s="96" t="s">
        <v>44</v>
      </c>
      <c r="B60" s="91">
        <v>24590977</v>
      </c>
      <c r="C60" s="92">
        <v>24630227</v>
      </c>
      <c r="D60" s="93">
        <f t="shared" si="4"/>
        <v>49221204</v>
      </c>
      <c r="E60" s="91">
        <v>27107265</v>
      </c>
      <c r="F60" s="92">
        <v>27138765</v>
      </c>
      <c r="G60" s="93">
        <f>+F60+E60</f>
        <v>54246030</v>
      </c>
      <c r="H60" s="167">
        <v>22303042</v>
      </c>
      <c r="I60" s="168">
        <v>22289254</v>
      </c>
      <c r="J60" s="93">
        <f t="shared" si="14"/>
        <v>44592296</v>
      </c>
      <c r="K60" s="113">
        <f t="shared" si="15"/>
        <v>-0.17796203703754912</v>
      </c>
    </row>
    <row r="61" spans="1:14" x14ac:dyDescent="0.25">
      <c r="K61" s="94"/>
    </row>
    <row r="62" spans="1:14" x14ac:dyDescent="0.25">
      <c r="K62" s="94"/>
    </row>
    <row r="63" spans="1:14" x14ac:dyDescent="0.25">
      <c r="K63" s="94"/>
    </row>
    <row r="64" spans="1:14" x14ac:dyDescent="0.25">
      <c r="K64" s="94"/>
    </row>
    <row r="65" spans="11:11" x14ac:dyDescent="0.25">
      <c r="K65" s="94"/>
    </row>
    <row r="66" spans="11:11" x14ac:dyDescent="0.25">
      <c r="K66" s="94"/>
    </row>
    <row r="67" spans="11:11" x14ac:dyDescent="0.25">
      <c r="K67" s="94"/>
    </row>
    <row r="68" spans="11:11" x14ac:dyDescent="0.25">
      <c r="K68" s="94"/>
    </row>
    <row r="69" spans="11:11" x14ac:dyDescent="0.25">
      <c r="K69" s="94"/>
    </row>
    <row r="70" spans="11:11" x14ac:dyDescent="0.25">
      <c r="K70" s="94"/>
    </row>
    <row r="71" spans="11:11" x14ac:dyDescent="0.25">
      <c r="K71" s="94"/>
    </row>
    <row r="72" spans="11:11" x14ac:dyDescent="0.25">
      <c r="K72" s="94"/>
    </row>
    <row r="73" spans="11:11" x14ac:dyDescent="0.25">
      <c r="K73" s="94"/>
    </row>
    <row r="74" spans="11:11" x14ac:dyDescent="0.25">
      <c r="K74" s="94"/>
    </row>
    <row r="75" spans="11:11" x14ac:dyDescent="0.25">
      <c r="K75" s="94"/>
    </row>
    <row r="76" spans="11:11" x14ac:dyDescent="0.25">
      <c r="K76" s="94"/>
    </row>
    <row r="77" spans="11:11" x14ac:dyDescent="0.25">
      <c r="K77" s="94"/>
    </row>
    <row r="78" spans="11:11" x14ac:dyDescent="0.25">
      <c r="K78" s="94"/>
    </row>
    <row r="79" spans="11:11" x14ac:dyDescent="0.25">
      <c r="K79" s="94"/>
    </row>
    <row r="80" spans="11:11" x14ac:dyDescent="0.25">
      <c r="K80" s="94"/>
    </row>
    <row r="81" spans="11:11" x14ac:dyDescent="0.25">
      <c r="K81" s="94"/>
    </row>
    <row r="82" spans="11:11" x14ac:dyDescent="0.25">
      <c r="K82" s="94"/>
    </row>
    <row r="83" spans="11:11" x14ac:dyDescent="0.25">
      <c r="K83" s="94"/>
    </row>
    <row r="84" spans="11:11" x14ac:dyDescent="0.25">
      <c r="K84" s="94"/>
    </row>
    <row r="85" spans="11:11" x14ac:dyDescent="0.25">
      <c r="K85" s="94"/>
    </row>
    <row r="86" spans="11:11" x14ac:dyDescent="0.25">
      <c r="K86" s="94"/>
    </row>
    <row r="87" spans="11:11" x14ac:dyDescent="0.25">
      <c r="K87" s="94"/>
    </row>
    <row r="88" spans="11:11" x14ac:dyDescent="0.25">
      <c r="K88" s="94"/>
    </row>
    <row r="89" spans="11:11" x14ac:dyDescent="0.25">
      <c r="K89" s="94"/>
    </row>
    <row r="90" spans="11:11" x14ac:dyDescent="0.25">
      <c r="K90" s="94"/>
    </row>
    <row r="91" spans="11:11" x14ac:dyDescent="0.25">
      <c r="K91" s="94"/>
    </row>
    <row r="92" spans="11:11" x14ac:dyDescent="0.25">
      <c r="K92" s="94"/>
    </row>
    <row r="93" spans="11:11" x14ac:dyDescent="0.25">
      <c r="K93" s="94"/>
    </row>
    <row r="94" spans="11:11" x14ac:dyDescent="0.25">
      <c r="K94" s="94"/>
    </row>
    <row r="95" spans="11:11" x14ac:dyDescent="0.25">
      <c r="K95" s="94"/>
    </row>
    <row r="96" spans="11:11" x14ac:dyDescent="0.25">
      <c r="K96" s="94"/>
    </row>
    <row r="97" spans="11:11" x14ac:dyDescent="0.25">
      <c r="K97" s="94"/>
    </row>
    <row r="98" spans="11:11" x14ac:dyDescent="0.25">
      <c r="K98" s="94"/>
    </row>
    <row r="99" spans="11:11" x14ac:dyDescent="0.25">
      <c r="K99" s="94"/>
    </row>
    <row r="100" spans="11:11" x14ac:dyDescent="0.25">
      <c r="K100" s="94"/>
    </row>
    <row r="101" spans="11:11" x14ac:dyDescent="0.25">
      <c r="K101" s="94"/>
    </row>
    <row r="102" spans="11:11" x14ac:dyDescent="0.25">
      <c r="K102" s="94"/>
    </row>
    <row r="103" spans="11:11" x14ac:dyDescent="0.25">
      <c r="K103" s="94"/>
    </row>
    <row r="104" spans="11:11" x14ac:dyDescent="0.25">
      <c r="K104" s="94"/>
    </row>
    <row r="105" spans="11:11" x14ac:dyDescent="0.25">
      <c r="K105" s="94"/>
    </row>
    <row r="106" spans="11:11" x14ac:dyDescent="0.25">
      <c r="K106" s="94"/>
    </row>
    <row r="107" spans="11:11" x14ac:dyDescent="0.25">
      <c r="K107" s="94"/>
    </row>
  </sheetData>
  <mergeCells count="3">
    <mergeCell ref="B3:D3"/>
    <mergeCell ref="E3:G3"/>
    <mergeCell ref="H3:J3"/>
  </mergeCells>
  <pageMargins left="0.70866141732283472" right="0.70866141732283472" top="0.35433070866141736" bottom="0.35433070866141736" header="0.31496062992125984" footer="0.31496062992125984"/>
  <pageSetup paperSize="9" scale="6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cellerino</dc:creator>
  <cp:lastModifiedBy>cellerino</cp:lastModifiedBy>
  <cp:lastPrinted>2018-08-27T09:38:04Z</cp:lastPrinted>
  <dcterms:created xsi:type="dcterms:W3CDTF">2015-03-02T13:45:33Z</dcterms:created>
  <dcterms:modified xsi:type="dcterms:W3CDTF">2018-08-27T10:04:12Z</dcterms:modified>
</cp:coreProperties>
</file>